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chnologies\_STOVES\Formulas, theorietical material on combustion\Draft Calculator\"/>
    </mc:Choice>
  </mc:AlternateContent>
  <bookViews>
    <workbookView xWindow="300" yWindow="228" windowWidth="10992" windowHeight="6360"/>
  </bookViews>
  <sheets>
    <sheet name="Gas Flow" sheetId="1" r:id="rId1"/>
  </sheets>
  <calcPr calcId="171027"/>
</workbook>
</file>

<file path=xl/calcChain.xml><?xml version="1.0" encoding="utf-8"?>
<calcChain xmlns="http://schemas.openxmlformats.org/spreadsheetml/2006/main">
  <c r="B3" i="1" l="1"/>
  <c r="J9" i="1"/>
  <c r="U10" i="1"/>
  <c r="U13" i="1" s="1"/>
  <c r="V10" i="1"/>
  <c r="G11" i="1"/>
  <c r="G12" i="1"/>
  <c r="G13" i="1"/>
  <c r="G14" i="1"/>
  <c r="G23" i="1"/>
  <c r="G24" i="1" s="1"/>
  <c r="G26" i="1" s="1"/>
  <c r="H23" i="1"/>
  <c r="H24" i="1" s="1"/>
  <c r="H26" i="1" s="1"/>
  <c r="I23" i="1"/>
  <c r="J23" i="1"/>
  <c r="K23" i="1"/>
  <c r="C27" i="1"/>
  <c r="C28" i="1" s="1"/>
  <c r="C29" i="1" s="1"/>
  <c r="I39" i="1"/>
  <c r="K39" i="1" s="1"/>
  <c r="G27" i="1" s="1"/>
  <c r="I40" i="1"/>
  <c r="K40" i="1" s="1"/>
  <c r="H27" i="1" s="1"/>
  <c r="I41" i="1"/>
  <c r="K41" i="1" s="1"/>
  <c r="I27" i="1" s="1"/>
  <c r="I42" i="1"/>
  <c r="K42" i="1" s="1"/>
  <c r="J27" i="1" s="1"/>
  <c r="I43" i="1"/>
  <c r="K43" i="1" s="1"/>
  <c r="K27" i="1" s="1"/>
  <c r="I45" i="1"/>
  <c r="I44" i="1" s="1"/>
  <c r="K44" i="1" s="1"/>
  <c r="C46" i="1"/>
  <c r="C47" i="1" s="1"/>
  <c r="C48" i="1" s="1"/>
  <c r="C57" i="1"/>
  <c r="C69" i="1"/>
  <c r="H33" i="1" l="1"/>
  <c r="K45" i="1"/>
  <c r="C30" i="1"/>
  <c r="C31" i="1" s="1"/>
  <c r="U16" i="1"/>
  <c r="C32" i="1" l="1"/>
  <c r="C40" i="1"/>
  <c r="C33" i="1" l="1"/>
  <c r="C36" i="1"/>
  <c r="C34" i="1"/>
  <c r="C39" i="1"/>
  <c r="C41" i="1"/>
  <c r="C63" i="1" l="1"/>
  <c r="C35" i="1"/>
  <c r="C42" i="1"/>
  <c r="C37" i="1"/>
  <c r="C38" i="1" s="1"/>
  <c r="C62" i="1"/>
  <c r="C43" i="1" l="1"/>
  <c r="C44" i="1"/>
  <c r="C45" i="1"/>
  <c r="C51" i="1"/>
  <c r="C54" i="1"/>
  <c r="L43" i="1" l="1"/>
  <c r="M43" i="1" s="1"/>
  <c r="L39" i="1"/>
  <c r="M39" i="1" s="1"/>
  <c r="L44" i="1"/>
  <c r="M44" i="1" s="1"/>
  <c r="G29" i="1"/>
  <c r="L40" i="1"/>
  <c r="M40" i="1" s="1"/>
  <c r="L42" i="1"/>
  <c r="M42" i="1" s="1"/>
  <c r="L45" i="1"/>
  <c r="M45" i="1" s="1"/>
  <c r="L41" i="1"/>
  <c r="M41" i="1" s="1"/>
  <c r="C49" i="1"/>
  <c r="C64" i="1"/>
  <c r="C50" i="1" l="1"/>
  <c r="J29" i="1"/>
  <c r="C52" i="1"/>
  <c r="C53" i="1" s="1"/>
  <c r="C56" i="1" s="1"/>
  <c r="C58" i="1" s="1"/>
  <c r="E16" i="1" s="1"/>
  <c r="D63" i="1"/>
  <c r="G28" i="1"/>
  <c r="G30" i="1"/>
  <c r="H29" i="1"/>
  <c r="D64" i="1"/>
  <c r="D62" i="1"/>
  <c r="H28" i="1" l="1"/>
  <c r="H30" i="1"/>
  <c r="I29" i="1"/>
  <c r="K29" i="1"/>
  <c r="K30" i="1" s="1"/>
  <c r="J28" i="1"/>
  <c r="K28" i="1" s="1"/>
  <c r="J30" i="1"/>
  <c r="C65" i="1"/>
  <c r="D65" i="1"/>
  <c r="V11" i="1" l="1"/>
  <c r="U11" i="1"/>
  <c r="J24" i="1"/>
  <c r="J26" i="1" s="1"/>
  <c r="I24" i="1"/>
  <c r="C66" i="1"/>
  <c r="C70" i="1" s="1"/>
  <c r="C71" i="1" s="1"/>
  <c r="C72" i="1" s="1"/>
  <c r="K24" i="1"/>
  <c r="K26" i="1" s="1"/>
  <c r="I28" i="1"/>
  <c r="I30" i="1"/>
  <c r="U17" i="1" l="1"/>
  <c r="U21" i="1"/>
  <c r="U20" i="1"/>
  <c r="G31" i="1"/>
  <c r="U22" i="1"/>
  <c r="U19" i="1"/>
  <c r="U14" i="1"/>
</calcChain>
</file>

<file path=xl/sharedStrings.xml><?xml version="1.0" encoding="utf-8"?>
<sst xmlns="http://schemas.openxmlformats.org/spreadsheetml/2006/main" count="230" uniqueCount="174">
  <si>
    <t>Chimney Draft Calculations For a Wood Burning Device</t>
  </si>
  <si>
    <t>Copyright (c) Nigel Pemberton-Pigott, 2003</t>
  </si>
  <si>
    <t>NOTES:</t>
  </si>
  <si>
    <t>SINGLE POINT DRAFT CALCULATIONS</t>
  </si>
  <si>
    <t>'AIR' means the normal air around you.</t>
  </si>
  <si>
    <t>POINT X</t>
  </si>
  <si>
    <t>Point Y</t>
  </si>
  <si>
    <t>'GAS' means the gases that are considered in the flame.</t>
  </si>
  <si>
    <t>AIR</t>
  </si>
  <si>
    <t>%</t>
  </si>
  <si>
    <t>Idea Gas Properties</t>
  </si>
  <si>
    <t>Compound</t>
  </si>
  <si>
    <t>Specific Gravity</t>
  </si>
  <si>
    <t>Atomic Weight (g/mol)</t>
  </si>
  <si>
    <t>Temp at point</t>
  </si>
  <si>
    <t>degC</t>
  </si>
  <si>
    <t>'Gases' means all the gases including the 'GAS' and excess 'AIR'.</t>
  </si>
  <si>
    <t>O2</t>
  </si>
  <si>
    <t>Molar volume</t>
  </si>
  <si>
    <t>m^3/mol</t>
  </si>
  <si>
    <t>CO2</t>
  </si>
  <si>
    <t>Height difference</t>
  </si>
  <si>
    <t>m</t>
  </si>
  <si>
    <t>Assume that no CO is being produced and combustion is complete.</t>
  </si>
  <si>
    <t>N2</t>
  </si>
  <si>
    <t>M of AIR</t>
  </si>
  <si>
    <t>g/mol</t>
  </si>
  <si>
    <t>H2O</t>
  </si>
  <si>
    <t>For air paths through a line of holes the centreline is gas/air boundary</t>
  </si>
  <si>
    <t>Temp (STP)</t>
  </si>
  <si>
    <t>K</t>
  </si>
  <si>
    <t>Air Density at point</t>
  </si>
  <si>
    <t>kg/m^3</t>
  </si>
  <si>
    <t>The calculation is not hydrogen-heat compensated.</t>
  </si>
  <si>
    <t>Ratio of CO2 to O2</t>
  </si>
  <si>
    <t>Air at STP</t>
  </si>
  <si>
    <t>Flue Gas Density at point</t>
  </si>
  <si>
    <t>Formula for burning wood:</t>
  </si>
  <si>
    <t>Ratio of AIR to O2</t>
  </si>
  <si>
    <t>H2</t>
  </si>
  <si>
    <t>CH1.4O0.6 + 1.05(O2 + 3.76N2) =&gt; CO2 + 0.7H2O + 3.95N2</t>
  </si>
  <si>
    <t>Ratio of AIR to CO2</t>
  </si>
  <si>
    <t>Gravity</t>
  </si>
  <si>
    <t>m/sec^2</t>
  </si>
  <si>
    <t>CO</t>
  </si>
  <si>
    <t>Draft at point for AIR vs AIR(STP)</t>
  </si>
  <si>
    <t>—</t>
  </si>
  <si>
    <t>Pascals</t>
  </si>
  <si>
    <t>Ratio of N2 to O2</t>
  </si>
  <si>
    <t>CH1.4O0.6</t>
  </si>
  <si>
    <t>???</t>
  </si>
  <si>
    <t>Draft at point for GAS vs AIR(STP)</t>
  </si>
  <si>
    <t>CHIMNEY DRAFT CALCULATOR</t>
  </si>
  <si>
    <t>Draft X-Y for AIR vs AIR</t>
  </si>
  <si>
    <t>AIR FACTOR (actual air flow/ideal air flow). Excess air of 50% means 150% of ideal air flow. Enter 1.50</t>
  </si>
  <si>
    <t>Draft line</t>
  </si>
  <si>
    <t>Primary Pre-heat</t>
  </si>
  <si>
    <t>Sec Air Pre-heating</t>
  </si>
  <si>
    <t>Primary Combustion</t>
  </si>
  <si>
    <t>Sec Combustion</t>
  </si>
  <si>
    <t>Heat to Pot</t>
  </si>
  <si>
    <t>Draft X-Y for GAS vs GAS</t>
  </si>
  <si>
    <t>Diameter of chimney (inside)</t>
  </si>
  <si>
    <t>mm</t>
  </si>
  <si>
    <t>Arrow Number</t>
  </si>
  <si>
    <t>Time to burn fuel</t>
  </si>
  <si>
    <t>seconds</t>
  </si>
  <si>
    <t>Pos/Neg Draft</t>
  </si>
  <si>
    <t>Arrow numbers refer to a single gas path</t>
  </si>
  <si>
    <t>Draft, Gas(X) outside AIR(Y) inside</t>
  </si>
  <si>
    <t>Mass of fuel burned in time above</t>
  </si>
  <si>
    <t>gm</t>
  </si>
  <si>
    <t>Air / Gas</t>
  </si>
  <si>
    <t>air</t>
  </si>
  <si>
    <t>gas</t>
  </si>
  <si>
    <t>Draft, AIR(X) outside GAS(Y) inside</t>
  </si>
  <si>
    <t>Temp inside chimney</t>
  </si>
  <si>
    <t>C</t>
  </si>
  <si>
    <t>Initial Temp (C)</t>
  </si>
  <si>
    <t>Draft, GAS(Y) outside AIR(X) inside</t>
  </si>
  <si>
    <t>% carbon in the wood</t>
  </si>
  <si>
    <t>Final Temp (C)</t>
  </si>
  <si>
    <t>Draft, AIR(Y) outside GAS(X) inside</t>
  </si>
  <si>
    <t>% water contained in wood</t>
  </si>
  <si>
    <t>Average T (C)</t>
  </si>
  <si>
    <t>Height of chimney</t>
  </si>
  <si>
    <t>Metres</t>
  </si>
  <si>
    <t>Density (g/m^3)</t>
  </si>
  <si>
    <t>Heat content of wood/biomass</t>
  </si>
  <si>
    <t>MJ/Kg</t>
  </si>
  <si>
    <t>Height (Metres)</t>
  </si>
  <si>
    <t>X is higher than Y</t>
  </si>
  <si>
    <t>Draft (pascals)</t>
  </si>
  <si>
    <t>X inside, Y outside</t>
  </si>
  <si>
    <t>or/and</t>
  </si>
  <si>
    <t xml:space="preserve">Mass of actual fuel </t>
  </si>
  <si>
    <t>g</t>
  </si>
  <si>
    <t>Path Area (m^2)</t>
  </si>
  <si>
    <t>X top, Y bottom</t>
  </si>
  <si>
    <t>Rate of fuel burn /min</t>
  </si>
  <si>
    <t>gm/min</t>
  </si>
  <si>
    <t>Volume M^3/hr</t>
  </si>
  <si>
    <t>Heat produced</t>
  </si>
  <si>
    <t>Watts</t>
  </si>
  <si>
    <t>Volume M^3/sec Max</t>
  </si>
  <si>
    <t>Moles of actual fuel</t>
  </si>
  <si>
    <t>moles</t>
  </si>
  <si>
    <t>Max</t>
  </si>
  <si>
    <t>Mass of carbon</t>
  </si>
  <si>
    <t>Total</t>
  </si>
  <si>
    <t>Moles of CO2 created during burning</t>
  </si>
  <si>
    <t>Fuel Type</t>
  </si>
  <si>
    <t>Wood</t>
  </si>
  <si>
    <t>Mass of CO2 produced during burning</t>
  </si>
  <si>
    <t>Gm/minute burned</t>
  </si>
  <si>
    <t>Volume of CO2 produced during burning</t>
  </si>
  <si>
    <t>m^3</t>
  </si>
  <si>
    <t>Mass of O2 need to burn carbon</t>
  </si>
  <si>
    <t xml:space="preserve">Moles of O2 needed to burn carbon </t>
  </si>
  <si>
    <t>Volume of O2 needed to burn carbon</t>
  </si>
  <si>
    <t>Hole Dia (mm)</t>
  </si>
  <si>
    <t>Required Air</t>
  </si>
  <si>
    <t>Volume of air needed to supply the O2 at 273K</t>
  </si>
  <si>
    <t>Piece</t>
  </si>
  <si>
    <t>Arrow #</t>
  </si>
  <si>
    <t>(mm)</t>
  </si>
  <si>
    <t>Area (m2)</t>
  </si>
  <si>
    <t># Holes</t>
  </si>
  <si>
    <t>Total area (m2)</t>
  </si>
  <si>
    <t>Flow(m3)</t>
  </si>
  <si>
    <t>mm/sec</t>
  </si>
  <si>
    <t>Mass of H2O vapor created in burning</t>
  </si>
  <si>
    <t xml:space="preserve">Moles of H2O vapor created in burning </t>
  </si>
  <si>
    <t>Volume of H2O vapor created during burning</t>
  </si>
  <si>
    <t>Moles of N2 entering/exiting the flame</t>
  </si>
  <si>
    <t>Mass of N2 entering/exiting the flame</t>
  </si>
  <si>
    <t>Volumes of N2 exiting the flame (273)</t>
  </si>
  <si>
    <t>Volume of CO2 already in the incoming air</t>
  </si>
  <si>
    <t>Mass of H2O in the wood</t>
  </si>
  <si>
    <t>Moles of H2O from wood</t>
  </si>
  <si>
    <t>Volume of H2O vapor from wood itself</t>
  </si>
  <si>
    <t>Note: New Dawn Engineering and the Arrow Device (logo) are registered trade marks</t>
  </si>
  <si>
    <t>Volume of GAS exiting the flame (273)</t>
  </si>
  <si>
    <t>Volume of gases exiting the flame (273) air factor</t>
  </si>
  <si>
    <t>Volume of excess air in air factor</t>
  </si>
  <si>
    <t>Volume of GAS in chimney (no air from air factor)</t>
  </si>
  <si>
    <t>Volume of Gases in chimney with extra air factor</t>
  </si>
  <si>
    <t>Real air volume from outside with air factor</t>
  </si>
  <si>
    <t xml:space="preserve">Air flow per second </t>
  </si>
  <si>
    <t>m^3/sec</t>
  </si>
  <si>
    <t>Cross-sectional area of chimney</t>
  </si>
  <si>
    <t>m^2</t>
  </si>
  <si>
    <t>Velocity of flue gases</t>
  </si>
  <si>
    <t>m/sec</t>
  </si>
  <si>
    <t>Velocity should not be more than 3m/sec</t>
  </si>
  <si>
    <t>GAS after burning</t>
  </si>
  <si>
    <t>Proportion after flame</t>
  </si>
  <si>
    <t>Total density of GAS at  (STP)</t>
  </si>
  <si>
    <t>Total density of GAS at flue temp</t>
  </si>
  <si>
    <t>g/m^3</t>
  </si>
  <si>
    <t>Gases after burning</t>
  </si>
  <si>
    <t>Density of excess AIR at flue temp</t>
  </si>
  <si>
    <t>Density of GAS at flue temp</t>
  </si>
  <si>
    <t>Average density of all gases in flue</t>
  </si>
  <si>
    <t>Draft of chimney</t>
  </si>
  <si>
    <t>BLDD5 STOVE MODELLING</t>
  </si>
  <si>
    <t>Hopper</t>
  </si>
  <si>
    <t>Combustor</t>
  </si>
  <si>
    <t>Riser</t>
  </si>
  <si>
    <t>Cooker</t>
  </si>
  <si>
    <t>Chimney</t>
  </si>
  <si>
    <t>Est Flow Rates</t>
  </si>
  <si>
    <t>CONSTANTS (for wood)</t>
  </si>
  <si>
    <t>Velocity M/Sec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</si>
</sst>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&quot;#,##0;\-&quot;R&quot;#,##0"/>
    <numFmt numFmtId="165" formatCode="0.000"/>
    <numFmt numFmtId="166" formatCode="0.00000"/>
    <numFmt numFmtId="167" formatCode="0.0000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0"/>
      <color indexed="33"/>
      <name val="Arial"/>
      <family val="2"/>
    </font>
    <font>
      <sz val="10"/>
      <color indexed="33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</fills>
  <borders count="1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ck">
        <color indexed="0"/>
      </right>
      <top/>
      <bottom/>
      <diagonal/>
    </border>
    <border>
      <left/>
      <right/>
      <top/>
      <bottom style="thick">
        <color indexed="0"/>
      </bottom>
      <diagonal/>
    </border>
    <border>
      <left style="thick">
        <color indexed="0"/>
      </left>
      <right/>
      <top style="thick">
        <color indexed="0"/>
      </top>
      <bottom style="thick">
        <color indexed="0"/>
      </bottom>
      <diagonal/>
    </border>
    <border>
      <left style="thick">
        <color indexed="0"/>
      </left>
      <right/>
      <top/>
      <bottom/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/>
      <top style="thick">
        <color indexed="0"/>
      </top>
      <bottom style="thick">
        <color indexed="0"/>
      </bottom>
      <diagonal/>
    </border>
    <border>
      <left/>
      <right style="thick">
        <color indexed="0"/>
      </right>
      <top style="thick">
        <color indexed="0"/>
      </top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/>
      <top style="thick">
        <color indexed="0"/>
      </top>
      <bottom/>
      <diagonal/>
    </border>
    <border>
      <left style="thin">
        <color indexed="0"/>
      </left>
      <right style="thin">
        <color indexed="0"/>
      </right>
      <top style="thick">
        <color indexed="0"/>
      </top>
      <bottom style="thick">
        <color indexed="0"/>
      </bottom>
      <diagonal/>
    </border>
  </borders>
  <cellStyleXfs count="10">
    <xf numFmtId="0" fontId="0" fillId="0" borderId="0">
      <alignment vertical="top"/>
    </xf>
    <xf numFmtId="4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11" fillId="0" borderId="1" applyNumberFormat="0" applyFill="0" applyBorder="0" applyAlignment="0" applyProtection="0"/>
    <xf numFmtId="3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10">
    <xf numFmtId="0" fontId="0" fillId="0" borderId="0" xfId="0" applyAlignment="1"/>
    <xf numFmtId="0" fontId="3" fillId="0" borderId="0" xfId="0" applyFont="1" applyAlignment="1"/>
    <xf numFmtId="0" fontId="0" fillId="0" borderId="0" xfId="0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165" fontId="3" fillId="0" borderId="3" xfId="0" applyNumberFormat="1" applyFont="1" applyFill="1" applyBorder="1" applyAlignment="1"/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5" xfId="0" applyFont="1" applyBorder="1" applyAlignment="1"/>
    <xf numFmtId="165" fontId="0" fillId="2" borderId="0" xfId="3" applyNumberFormat="1" applyFont="1" applyFill="1" applyBorder="1" applyProtection="1">
      <protection locked="0"/>
    </xf>
    <xf numFmtId="0" fontId="5" fillId="0" borderId="4" xfId="0" applyFont="1" applyFill="1" applyBorder="1" applyAlignment="1"/>
    <xf numFmtId="165" fontId="0" fillId="2" borderId="0" xfId="3" applyNumberFormat="1" applyFont="1" applyFill="1" applyBorder="1" applyProtection="1">
      <protection locked="0"/>
    </xf>
    <xf numFmtId="165" fontId="0" fillId="0" borderId="0" xfId="0" applyNumberFormat="1" applyAlignment="1"/>
    <xf numFmtId="165" fontId="2" fillId="0" borderId="6" xfId="3" applyNumberFormat="1" applyFont="1" applyBorder="1" applyAlignment="1"/>
    <xf numFmtId="0" fontId="0" fillId="0" borderId="7" xfId="0" applyFont="1" applyFill="1" applyBorder="1" applyAlignment="1">
      <alignment horizontal="center" wrapText="1"/>
    </xf>
    <xf numFmtId="0" fontId="8" fillId="0" borderId="0" xfId="0" applyFont="1" applyAlignment="1"/>
    <xf numFmtId="166" fontId="0" fillId="0" borderId="0" xfId="0" applyNumberFormat="1" applyAlignment="1"/>
    <xf numFmtId="0" fontId="0" fillId="0" borderId="4" xfId="0" applyNumberFormat="1" applyFont="1" applyFill="1" applyBorder="1" applyAlignment="1" applyProtection="1"/>
    <xf numFmtId="165" fontId="2" fillId="0" borderId="3" xfId="3" applyNumberFormat="1" applyFont="1" applyBorder="1" applyAlignment="1"/>
    <xf numFmtId="0" fontId="0" fillId="0" borderId="8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65" fontId="0" fillId="2" borderId="3" xfId="3" applyNumberFormat="1" applyFont="1" applyFill="1" applyBorder="1" applyProtection="1">
      <protection locked="0"/>
    </xf>
    <xf numFmtId="2" fontId="0" fillId="0" borderId="2" xfId="0" applyNumberFormat="1" applyFont="1" applyBorder="1" applyAlignment="1"/>
    <xf numFmtId="0" fontId="0" fillId="0" borderId="5" xfId="0" applyFont="1" applyBorder="1" applyAlignment="1"/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8" xfId="0" applyFill="1" applyBorder="1" applyAlignment="1"/>
    <xf numFmtId="0" fontId="0" fillId="0" borderId="7" xfId="0" applyFill="1" applyBorder="1" applyAlignment="1"/>
    <xf numFmtId="165" fontId="0" fillId="3" borderId="0" xfId="0" applyNumberFormat="1" applyFill="1" applyBorder="1" applyAlignment="1"/>
    <xf numFmtId="165" fontId="0" fillId="0" borderId="9" xfId="0" applyNumberFormat="1" applyFont="1" applyBorder="1" applyAlignment="1"/>
    <xf numFmtId="0" fontId="5" fillId="0" borderId="7" xfId="0" applyFont="1" applyFill="1" applyBorder="1" applyAlignment="1"/>
    <xf numFmtId="0" fontId="0" fillId="0" borderId="7" xfId="0" applyNumberFormat="1" applyFont="1" applyFill="1" applyBorder="1" applyAlignment="1" applyProtection="1"/>
    <xf numFmtId="0" fontId="4" fillId="0" borderId="0" xfId="0" applyFont="1" applyAlignment="1">
      <alignment horizontal="left"/>
    </xf>
    <xf numFmtId="165" fontId="0" fillId="3" borderId="2" xfId="0" applyNumberFormat="1" applyFont="1" applyFill="1" applyBorder="1" applyAlignment="1"/>
    <xf numFmtId="0" fontId="0" fillId="2" borderId="0" xfId="3" applyNumberFormat="1" applyFont="1" applyFill="1" applyBorder="1" applyProtection="1">
      <protection locked="0"/>
    </xf>
    <xf numFmtId="0" fontId="0" fillId="0" borderId="8" xfId="0" applyNumberFormat="1" applyFont="1" applyFill="1" applyBorder="1" applyAlignment="1" applyProtection="1"/>
    <xf numFmtId="0" fontId="0" fillId="0" borderId="3" xfId="0" applyFont="1" applyBorder="1" applyAlignment="1"/>
    <xf numFmtId="166" fontId="0" fillId="0" borderId="3" xfId="0" applyNumberFormat="1" applyFont="1" applyBorder="1" applyAlignment="1"/>
    <xf numFmtId="0" fontId="0" fillId="2" borderId="2" xfId="3" applyNumberFormat="1" applyFont="1" applyFill="1" applyBorder="1" applyProtection="1">
      <protection locked="0"/>
    </xf>
    <xf numFmtId="1" fontId="0" fillId="2" borderId="0" xfId="3" applyNumberFormat="1" applyFont="1" applyFill="1" applyBorder="1" applyProtection="1">
      <protection locked="0"/>
    </xf>
    <xf numFmtId="2" fontId="0" fillId="0" borderId="0" xfId="0" applyNumberFormat="1" applyAlignment="1"/>
    <xf numFmtId="167" fontId="0" fillId="0" borderId="0" xfId="0" applyNumberFormat="1" applyAlignment="1"/>
    <xf numFmtId="167" fontId="0" fillId="0" borderId="2" xfId="0" applyNumberFormat="1" applyFont="1" applyBorder="1" applyAlignment="1"/>
    <xf numFmtId="1" fontId="0" fillId="2" borderId="3" xfId="3" applyNumberFormat="1" applyFont="1" applyFill="1" applyBorder="1" applyProtection="1">
      <protection locked="0"/>
    </xf>
    <xf numFmtId="165" fontId="0" fillId="0" borderId="3" xfId="0" applyNumberFormat="1" applyFont="1" applyBorder="1" applyAlignment="1"/>
    <xf numFmtId="0" fontId="0" fillId="0" borderId="10" xfId="0" applyFont="1" applyBorder="1" applyAlignment="1"/>
    <xf numFmtId="0" fontId="0" fillId="0" borderId="2" xfId="0" applyFont="1" applyBorder="1" applyAlignment="1"/>
    <xf numFmtId="0" fontId="0" fillId="0" borderId="9" xfId="0" applyFont="1" applyBorder="1" applyAlignment="1"/>
    <xf numFmtId="0" fontId="4" fillId="0" borderId="4" xfId="0" applyFont="1" applyFill="1" applyBorder="1" applyAlignment="1"/>
    <xf numFmtId="0" fontId="0" fillId="2" borderId="0" xfId="0" applyFill="1" applyBorder="1" applyAlignment="1" applyProtection="1">
      <protection locked="0"/>
    </xf>
    <xf numFmtId="0" fontId="4" fillId="0" borderId="4" xfId="0" applyFont="1" applyFill="1" applyBorder="1" applyAlignment="1">
      <alignment horizontal="right"/>
    </xf>
    <xf numFmtId="0" fontId="6" fillId="0" borderId="8" xfId="0" applyNumberFormat="1" applyFont="1" applyFill="1" applyBorder="1" applyAlignment="1" applyProtection="1"/>
    <xf numFmtId="0" fontId="0" fillId="0" borderId="6" xfId="0" applyFont="1" applyBorder="1" applyAlignment="1"/>
    <xf numFmtId="0" fontId="0" fillId="2" borderId="3" xfId="0" applyFont="1" applyFill="1" applyBorder="1" applyAlignment="1"/>
    <xf numFmtId="0" fontId="4" fillId="0" borderId="11" xfId="0" applyFont="1" applyFill="1" applyBorder="1" applyAlignment="1">
      <alignment horizontal="right"/>
    </xf>
    <xf numFmtId="165" fontId="3" fillId="0" borderId="0" xfId="0" applyNumberFormat="1" applyFont="1" applyAlignment="1"/>
    <xf numFmtId="0" fontId="0" fillId="0" borderId="5" xfId="0" applyFont="1" applyFill="1" applyBorder="1" applyAlignment="1">
      <alignment horizontal="left"/>
    </xf>
    <xf numFmtId="165" fontId="3" fillId="0" borderId="0" xfId="0" applyNumberFormat="1" applyFont="1" applyAlignment="1">
      <alignment horizontal="right"/>
    </xf>
    <xf numFmtId="0" fontId="0" fillId="0" borderId="12" xfId="0" applyFill="1" applyBorder="1" applyAlignment="1"/>
    <xf numFmtId="0" fontId="0" fillId="0" borderId="10" xfId="0" applyFill="1" applyBorder="1" applyAlignment="1"/>
    <xf numFmtId="10" fontId="0" fillId="2" borderId="12" xfId="2" applyFont="1" applyFill="1" applyBorder="1" applyProtection="1">
      <protection locked="0"/>
    </xf>
    <xf numFmtId="0" fontId="0" fillId="0" borderId="11" xfId="0" applyBorder="1" applyAlignment="1">
      <alignment wrapText="1"/>
    </xf>
    <xf numFmtId="0" fontId="0" fillId="0" borderId="9" xfId="0" applyFill="1" applyBorder="1" applyAlignment="1"/>
    <xf numFmtId="0" fontId="0" fillId="0" borderId="11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0" fontId="0" fillId="0" borderId="6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3" fillId="0" borderId="12" xfId="0" applyFont="1" applyFill="1" applyBorder="1" applyAlignment="1"/>
    <xf numFmtId="165" fontId="0" fillId="2" borderId="0" xfId="3" applyNumberFormat="1" applyFont="1" applyFill="1" applyBorder="1" applyProtection="1"/>
    <xf numFmtId="0" fontId="0" fillId="0" borderId="0" xfId="0" applyAlignment="1">
      <alignment horizontal="right"/>
    </xf>
    <xf numFmtId="0" fontId="0" fillId="2" borderId="0" xfId="0" applyFill="1" applyAlignment="1" applyProtection="1">
      <protection locked="0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NumberFormat="1" applyFont="1" applyFill="1" applyBorder="1" applyAlignment="1" applyProtection="1"/>
    <xf numFmtId="0" fontId="0" fillId="0" borderId="5" xfId="0" applyFill="1" applyBorder="1" applyAlignment="1" applyProtection="1">
      <protection locked="0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5" fillId="0" borderId="12" xfId="0" applyNumberFormat="1" applyFont="1" applyFill="1" applyBorder="1" applyAlignment="1" applyProtection="1"/>
    <xf numFmtId="0" fontId="0" fillId="0" borderId="3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Fill="1" applyBorder="1" applyAlignment="1"/>
    <xf numFmtId="0" fontId="3" fillId="0" borderId="5" xfId="0" applyFont="1" applyFill="1" applyBorder="1" applyAlignment="1"/>
    <xf numFmtId="0" fontId="0" fillId="0" borderId="5" xfId="0" applyFill="1" applyBorder="1" applyAlignment="1">
      <alignment horizontal="left"/>
    </xf>
    <xf numFmtId="0" fontId="3" fillId="0" borderId="6" xfId="0" applyFont="1" applyFill="1" applyBorder="1" applyAlignment="1"/>
    <xf numFmtId="165" fontId="0" fillId="0" borderId="12" xfId="0" applyNumberFormat="1" applyFill="1" applyBorder="1" applyAlignment="1"/>
    <xf numFmtId="165" fontId="0" fillId="0" borderId="0" xfId="3" applyNumberFormat="1" applyFont="1" applyFill="1"/>
    <xf numFmtId="165" fontId="3" fillId="0" borderId="0" xfId="3" applyNumberFormat="1" applyFont="1" applyFill="1" applyAlignment="1"/>
    <xf numFmtId="165" fontId="3" fillId="3" borderId="0" xfId="3" applyNumberFormat="1" applyFont="1" applyFill="1" applyBorder="1" applyAlignment="1"/>
    <xf numFmtId="165" fontId="3" fillId="3" borderId="3" xfId="3" applyNumberFormat="1" applyFont="1" applyFill="1" applyBorder="1" applyAlignment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165" fontId="0" fillId="0" borderId="12" xfId="3" applyNumberFormat="1" applyFont="1" applyFill="1" applyBorder="1"/>
    <xf numFmtId="0" fontId="0" fillId="0" borderId="11" xfId="0" applyFill="1" applyBorder="1" applyAlignment="1"/>
    <xf numFmtId="0" fontId="3" fillId="0" borderId="6" xfId="0" applyFont="1" applyFill="1" applyBorder="1" applyAlignment="1">
      <alignment horizontal="right"/>
    </xf>
    <xf numFmtId="0" fontId="9" fillId="0" borderId="12" xfId="0" applyFont="1" applyFill="1" applyBorder="1" applyAlignment="1"/>
    <xf numFmtId="165" fontId="3" fillId="3" borderId="3" xfId="0" applyNumberFormat="1" applyFont="1" applyFill="1" applyBorder="1" applyAlignment="1"/>
    <xf numFmtId="0" fontId="3" fillId="0" borderId="10" xfId="0" applyFont="1" applyFill="1" applyBorder="1" applyAlignment="1"/>
    <xf numFmtId="165" fontId="0" fillId="0" borderId="2" xfId="0" applyNumberFormat="1" applyFill="1" applyBorder="1" applyAlignment="1"/>
    <xf numFmtId="0" fontId="10" fillId="0" borderId="12" xfId="0" applyFont="1" applyFill="1" applyBorder="1" applyAlignment="1"/>
    <xf numFmtId="165" fontId="4" fillId="2" borderId="13" xfId="0" applyNumberFormat="1" applyFont="1" applyFill="1" applyBorder="1" applyAlignment="1"/>
    <xf numFmtId="14" fontId="0" fillId="0" borderId="0" xfId="4" applyNumberFormat="1" applyFont="1"/>
    <xf numFmtId="165" fontId="11" fillId="2" borderId="2" xfId="3" applyNumberFormat="1" applyFont="1" applyFill="1" applyBorder="1" applyProtection="1">
      <protection locked="0"/>
    </xf>
    <xf numFmtId="0" fontId="11" fillId="0" borderId="5" xfId="0" applyFont="1" applyFill="1" applyBorder="1" applyAlignment="1">
      <alignment horizontal="right"/>
    </xf>
    <xf numFmtId="4" fontId="0" fillId="0" borderId="0" xfId="1" applyFont="1" applyAlignment="1"/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0">
    <cellStyle name="Comma" xfId="1" builtinId="3"/>
    <cellStyle name="Comma0" xfId="8"/>
    <cellStyle name="Currency0" xfId="9"/>
    <cellStyle name="Date" xfId="4"/>
    <cellStyle name="Fixed" xfId="3"/>
    <cellStyle name="Heading 1" xfId="5" builtinId="16" customBuiltin="1"/>
    <cellStyle name="Heading 2" xfId="6" builtinId="17" customBuiltin="1"/>
    <cellStyle name="Normal" xfId="0" builtinId="0"/>
    <cellStyle name="Percent" xfId="2" builtinId="5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2"/>
  <sheetViews>
    <sheetView tabSelected="1" topLeftCell="D1" workbookViewId="0">
      <selection activeCell="G16" sqref="G16"/>
    </sheetView>
  </sheetViews>
  <sheetFormatPr defaultRowHeight="13.2" x14ac:dyDescent="0.25"/>
  <cols>
    <col min="1" max="1" width="2" customWidth="1"/>
    <col min="2" max="2" width="46.109375" customWidth="1"/>
    <col min="3" max="3" width="13.44140625" customWidth="1"/>
    <col min="4" max="4" width="10.5546875" customWidth="1"/>
    <col min="6" max="6" width="20.88671875" customWidth="1"/>
    <col min="7" max="7" width="9.5546875" customWidth="1"/>
    <col min="8" max="8" width="10.44140625" customWidth="1"/>
    <col min="9" max="10" width="11" customWidth="1"/>
    <col min="11" max="11" width="13" customWidth="1"/>
    <col min="12" max="12" width="10.5546875" customWidth="1"/>
    <col min="13" max="13" width="14.88671875" customWidth="1"/>
    <col min="19" max="19" width="16.6640625" customWidth="1"/>
    <col min="20" max="20" width="16" customWidth="1"/>
    <col min="21" max="21" width="14.88671875" customWidth="1"/>
    <col min="22" max="22" width="9.33203125" customWidth="1"/>
    <col min="26" max="26" width="9.33203125" customWidth="1"/>
  </cols>
  <sheetData>
    <row r="2" spans="2:23" ht="17.399999999999999" x14ac:dyDescent="0.3">
      <c r="B2" s="32" t="s">
        <v>0</v>
      </c>
    </row>
    <row r="3" spans="2:23" x14ac:dyDescent="0.25">
      <c r="B3" s="103">
        <f ca="1">TODAY()</f>
        <v>42798</v>
      </c>
    </row>
    <row r="4" spans="2:23" ht="13.8" thickBot="1" x14ac:dyDescent="0.3">
      <c r="B4" t="s">
        <v>1</v>
      </c>
    </row>
    <row r="5" spans="2:23" ht="21" x14ac:dyDescent="0.4">
      <c r="B5" t="s">
        <v>2</v>
      </c>
      <c r="F5" s="63"/>
      <c r="G5" s="66"/>
      <c r="H5" s="66"/>
      <c r="I5" s="80" t="s">
        <v>172</v>
      </c>
      <c r="J5" s="66"/>
      <c r="K5" s="66"/>
      <c r="L5" s="66"/>
      <c r="M5" s="66"/>
      <c r="N5" s="58"/>
      <c r="O5" s="59"/>
      <c r="S5" s="10" t="s">
        <v>3</v>
      </c>
      <c r="T5" s="27"/>
      <c r="U5" s="27"/>
      <c r="V5" s="27"/>
      <c r="W5" s="26"/>
    </row>
    <row r="6" spans="2:23" x14ac:dyDescent="0.25">
      <c r="B6" t="s">
        <v>4</v>
      </c>
      <c r="F6" s="64"/>
      <c r="G6" s="67"/>
      <c r="H6" s="67"/>
      <c r="I6" s="67"/>
      <c r="J6" s="67"/>
      <c r="K6" s="67"/>
      <c r="L6" s="67"/>
      <c r="M6" s="67"/>
      <c r="O6" s="83"/>
      <c r="S6" s="63"/>
      <c r="T6" s="66"/>
      <c r="U6" s="69" t="s">
        <v>5</v>
      </c>
      <c r="V6" s="69" t="s">
        <v>6</v>
      </c>
      <c r="W6" s="59"/>
    </row>
    <row r="7" spans="2:23" x14ac:dyDescent="0.25">
      <c r="B7" t="s">
        <v>7</v>
      </c>
      <c r="F7" s="64" t="s">
        <v>8</v>
      </c>
      <c r="G7" s="71" t="s">
        <v>9</v>
      </c>
      <c r="H7" s="67"/>
      <c r="I7" s="67"/>
      <c r="J7" s="67" t="s">
        <v>10</v>
      </c>
      <c r="K7" s="67"/>
      <c r="L7" s="67" t="s">
        <v>11</v>
      </c>
      <c r="M7" s="71" t="s">
        <v>12</v>
      </c>
      <c r="N7" s="75" t="s">
        <v>13</v>
      </c>
      <c r="O7" s="83"/>
      <c r="S7" s="64"/>
      <c r="T7" s="71" t="s">
        <v>14</v>
      </c>
      <c r="U7" s="11">
        <v>120</v>
      </c>
      <c r="V7" s="11">
        <v>60</v>
      </c>
      <c r="W7" s="76" t="s">
        <v>15</v>
      </c>
    </row>
    <row r="8" spans="2:23" x14ac:dyDescent="0.25">
      <c r="B8" t="s">
        <v>16</v>
      </c>
      <c r="F8" s="77" t="s">
        <v>17</v>
      </c>
      <c r="G8" s="72">
        <v>20.942</v>
      </c>
      <c r="H8" s="67"/>
      <c r="I8" s="71" t="s">
        <v>18</v>
      </c>
      <c r="J8" s="72">
        <v>2.24E-2</v>
      </c>
      <c r="K8" s="75" t="s">
        <v>19</v>
      </c>
      <c r="L8" s="71" t="s">
        <v>20</v>
      </c>
      <c r="M8" s="72">
        <v>1.52</v>
      </c>
      <c r="N8" s="72">
        <v>44</v>
      </c>
      <c r="O8" s="83"/>
      <c r="S8" s="64"/>
      <c r="T8" s="71" t="s">
        <v>21</v>
      </c>
      <c r="U8" s="11">
        <v>6</v>
      </c>
      <c r="V8" s="74">
        <v>0</v>
      </c>
      <c r="W8" s="76" t="s">
        <v>22</v>
      </c>
    </row>
    <row r="9" spans="2:23" x14ac:dyDescent="0.25">
      <c r="B9" t="s">
        <v>23</v>
      </c>
      <c r="F9" s="77" t="s">
        <v>24</v>
      </c>
      <c r="G9" s="72">
        <v>78</v>
      </c>
      <c r="H9" s="67"/>
      <c r="I9" s="71" t="s">
        <v>25</v>
      </c>
      <c r="J9" s="72">
        <f>(G8*32+G9*28+G10*48)/100</f>
        <v>28.559680000000004</v>
      </c>
      <c r="K9" s="75" t="s">
        <v>26</v>
      </c>
      <c r="L9" s="71" t="s">
        <v>27</v>
      </c>
      <c r="M9" s="72">
        <v>0.623</v>
      </c>
      <c r="N9" s="72">
        <v>18</v>
      </c>
      <c r="O9" s="83"/>
      <c r="S9" s="64"/>
      <c r="T9" s="71"/>
      <c r="U9" s="70"/>
      <c r="V9" s="67"/>
      <c r="W9" s="83"/>
    </row>
    <row r="10" spans="2:23" x14ac:dyDescent="0.25">
      <c r="B10" t="s">
        <v>28</v>
      </c>
      <c r="F10" s="77" t="s">
        <v>20</v>
      </c>
      <c r="G10" s="72">
        <v>3.7999999999999999E-2</v>
      </c>
      <c r="H10" s="67"/>
      <c r="I10" s="71" t="s">
        <v>29</v>
      </c>
      <c r="J10" s="72">
        <v>293</v>
      </c>
      <c r="K10" s="75" t="s">
        <v>30</v>
      </c>
      <c r="L10" s="71" t="s">
        <v>24</v>
      </c>
      <c r="M10" s="72">
        <v>0.97099999999999997</v>
      </c>
      <c r="N10" s="72">
        <v>28</v>
      </c>
      <c r="O10" s="83"/>
      <c r="S10" s="64"/>
      <c r="T10" s="71" t="s">
        <v>31</v>
      </c>
      <c r="U10" s="12">
        <f>$J11/($J10+U7)*$J10</f>
        <v>0.92227602905569006</v>
      </c>
      <c r="V10" s="12">
        <f>$J11/($J10+V7)*$J10</f>
        <v>1.0790368271954676</v>
      </c>
      <c r="W10" s="76" t="s">
        <v>32</v>
      </c>
    </row>
    <row r="11" spans="2:23" x14ac:dyDescent="0.25">
      <c r="B11" t="s">
        <v>33</v>
      </c>
      <c r="F11" s="78" t="s">
        <v>34</v>
      </c>
      <c r="G11" s="67">
        <f>G10/G8</f>
        <v>1.814535383439977E-3</v>
      </c>
      <c r="H11" s="67"/>
      <c r="I11" s="71" t="s">
        <v>35</v>
      </c>
      <c r="J11" s="11">
        <v>1.3</v>
      </c>
      <c r="K11" s="75" t="s">
        <v>32</v>
      </c>
      <c r="L11" s="71" t="s">
        <v>17</v>
      </c>
      <c r="M11" s="72">
        <v>1.1060000000000001</v>
      </c>
      <c r="N11" s="72">
        <v>32</v>
      </c>
      <c r="O11" s="83"/>
      <c r="S11" s="64"/>
      <c r="T11" s="71" t="s">
        <v>36</v>
      </c>
      <c r="U11" s="12">
        <f>$C65/($J10+U7)*$J10/1000</f>
        <v>0.93156724769965527</v>
      </c>
      <c r="V11" s="12">
        <f>$C65/($J10+V7)*$J10/1000</f>
        <v>1.0899072898015796</v>
      </c>
      <c r="W11" s="76" t="s">
        <v>32</v>
      </c>
    </row>
    <row r="12" spans="2:23" x14ac:dyDescent="0.25">
      <c r="B12" t="s">
        <v>37</v>
      </c>
      <c r="F12" s="78" t="s">
        <v>38</v>
      </c>
      <c r="G12" s="67">
        <f>100/G8</f>
        <v>4.7750931143157294</v>
      </c>
      <c r="H12" s="67"/>
      <c r="I12" s="67"/>
      <c r="J12" s="67"/>
      <c r="K12" s="67"/>
      <c r="L12" s="71" t="s">
        <v>39</v>
      </c>
      <c r="M12" s="72">
        <v>6.9000000000000006E-2</v>
      </c>
      <c r="N12" s="72">
        <v>2</v>
      </c>
      <c r="O12" s="83"/>
      <c r="S12" s="64"/>
      <c r="T12" s="67"/>
      <c r="U12" s="12"/>
      <c r="V12" s="67"/>
      <c r="W12" s="83"/>
    </row>
    <row r="13" spans="2:23" x14ac:dyDescent="0.25">
      <c r="B13" s="1" t="s">
        <v>40</v>
      </c>
      <c r="F13" s="78" t="s">
        <v>41</v>
      </c>
      <c r="G13" s="67">
        <f>100/G10</f>
        <v>2631.5789473684213</v>
      </c>
      <c r="H13" s="67"/>
      <c r="I13" s="71" t="s">
        <v>42</v>
      </c>
      <c r="J13" s="11">
        <v>9.81</v>
      </c>
      <c r="K13" s="67" t="s">
        <v>43</v>
      </c>
      <c r="L13" s="71" t="s">
        <v>44</v>
      </c>
      <c r="M13" s="72">
        <v>0.96699999999999997</v>
      </c>
      <c r="N13" s="72">
        <v>28</v>
      </c>
      <c r="O13" s="83"/>
      <c r="S13" s="64"/>
      <c r="T13" s="71" t="s">
        <v>45</v>
      </c>
      <c r="U13" s="12">
        <f>($J11-U10)*$J13*$U8</f>
        <v>22.232832929782088</v>
      </c>
      <c r="V13" s="74" t="s">
        <v>46</v>
      </c>
      <c r="W13" s="76" t="s">
        <v>47</v>
      </c>
    </row>
    <row r="14" spans="2:23" x14ac:dyDescent="0.25">
      <c r="F14" s="79" t="s">
        <v>48</v>
      </c>
      <c r="G14" s="68">
        <f>G9/G8</f>
        <v>3.7245726291662686</v>
      </c>
      <c r="H14" s="68"/>
      <c r="I14" s="68"/>
      <c r="J14" s="68"/>
      <c r="K14" s="68"/>
      <c r="L14" s="81" t="s">
        <v>49</v>
      </c>
      <c r="M14" s="82" t="s">
        <v>50</v>
      </c>
      <c r="N14" s="82">
        <v>23</v>
      </c>
      <c r="O14" s="62"/>
      <c r="S14" s="64"/>
      <c r="T14" s="71" t="s">
        <v>51</v>
      </c>
      <c r="U14" s="55">
        <f>($J11-U11)*$J13*$U8</f>
        <v>21.685951800398293</v>
      </c>
      <c r="V14" s="74" t="s">
        <v>46</v>
      </c>
      <c r="W14" s="76" t="s">
        <v>47</v>
      </c>
    </row>
    <row r="15" spans="2:23" x14ac:dyDescent="0.25">
      <c r="S15" s="64"/>
      <c r="T15" s="67"/>
      <c r="U15" s="12"/>
      <c r="V15" s="67"/>
      <c r="W15" s="83"/>
    </row>
    <row r="16" spans="2:23" ht="21" x14ac:dyDescent="0.4">
      <c r="B16" s="7" t="s">
        <v>52</v>
      </c>
      <c r="C16" s="27"/>
      <c r="D16" s="26"/>
      <c r="E16" s="15" t="str">
        <f>IF(C58&gt;3,"WARNING! Gas speed too high!"," ")</f>
        <v xml:space="preserve"> </v>
      </c>
      <c r="F16" s="17"/>
      <c r="G16" s="30" t="s">
        <v>165</v>
      </c>
      <c r="H16" s="31"/>
      <c r="I16" s="31"/>
      <c r="J16" s="31"/>
      <c r="K16" s="35"/>
      <c r="S16" s="64"/>
      <c r="T16" s="71" t="s">
        <v>53</v>
      </c>
      <c r="U16" s="73">
        <f>(V10-U10)*J13*U8</f>
        <v>9.2269405785073051</v>
      </c>
      <c r="V16" s="74" t="s">
        <v>46</v>
      </c>
      <c r="W16" s="76" t="s">
        <v>47</v>
      </c>
    </row>
    <row r="17" spans="2:23" ht="27" x14ac:dyDescent="0.3">
      <c r="B17" s="61" t="s">
        <v>54</v>
      </c>
      <c r="C17" s="60">
        <v>2</v>
      </c>
      <c r="D17" s="45"/>
      <c r="F17" s="48" t="s">
        <v>55</v>
      </c>
      <c r="G17" s="14" t="s">
        <v>56</v>
      </c>
      <c r="H17" s="14" t="s">
        <v>57</v>
      </c>
      <c r="I17" s="14" t="s">
        <v>58</v>
      </c>
      <c r="J17" s="14" t="s">
        <v>59</v>
      </c>
      <c r="K17" s="19" t="s">
        <v>60</v>
      </c>
      <c r="S17" s="64"/>
      <c r="T17" s="71" t="s">
        <v>61</v>
      </c>
      <c r="U17" s="73">
        <f>(V11-U11)*U8*J13</f>
        <v>9.3198948781192659</v>
      </c>
      <c r="V17" s="74" t="s">
        <v>46</v>
      </c>
      <c r="W17" s="76" t="s">
        <v>47</v>
      </c>
    </row>
    <row r="18" spans="2:23" x14ac:dyDescent="0.25">
      <c r="B18" s="23" t="s">
        <v>62</v>
      </c>
      <c r="C18" s="9">
        <v>125</v>
      </c>
      <c r="D18" s="46" t="s">
        <v>63</v>
      </c>
      <c r="F18" s="8" t="s">
        <v>64</v>
      </c>
      <c r="G18" s="3">
        <v>1</v>
      </c>
      <c r="H18" s="3">
        <v>2</v>
      </c>
      <c r="I18" s="3">
        <v>3</v>
      </c>
      <c r="J18" s="3">
        <v>4</v>
      </c>
      <c r="K18" s="4">
        <v>5</v>
      </c>
      <c r="S18" s="64"/>
      <c r="T18" s="67"/>
      <c r="U18" s="67"/>
      <c r="V18" s="67"/>
      <c r="W18" s="83"/>
    </row>
    <row r="19" spans="2:23" x14ac:dyDescent="0.25">
      <c r="B19" s="23" t="s">
        <v>65</v>
      </c>
      <c r="C19" s="49">
        <v>3600</v>
      </c>
      <c r="D19" s="46" t="s">
        <v>66</v>
      </c>
      <c r="F19" s="8" t="s">
        <v>67</v>
      </c>
      <c r="G19" s="6">
        <v>-1</v>
      </c>
      <c r="H19" s="6">
        <v>-1</v>
      </c>
      <c r="I19" s="6">
        <v>1</v>
      </c>
      <c r="J19" s="6">
        <v>1</v>
      </c>
      <c r="K19" s="20">
        <v>1</v>
      </c>
      <c r="M19" t="s">
        <v>68</v>
      </c>
      <c r="S19" s="64"/>
      <c r="T19" s="71" t="s">
        <v>69</v>
      </c>
      <c r="U19" s="12">
        <f>(U11-V10)*U8*J13</f>
        <v>-8.6800594491235117</v>
      </c>
      <c r="V19" s="74" t="s">
        <v>46</v>
      </c>
      <c r="W19" s="76" t="s">
        <v>47</v>
      </c>
    </row>
    <row r="20" spans="2:23" x14ac:dyDescent="0.25">
      <c r="B20" s="23" t="s">
        <v>70</v>
      </c>
      <c r="C20" s="49">
        <v>1600</v>
      </c>
      <c r="D20" s="46" t="s">
        <v>71</v>
      </c>
      <c r="F20" s="8" t="s">
        <v>72</v>
      </c>
      <c r="G20" s="6" t="s">
        <v>73</v>
      </c>
      <c r="H20" s="6" t="s">
        <v>73</v>
      </c>
      <c r="I20" s="6" t="s">
        <v>74</v>
      </c>
      <c r="J20" s="6" t="s">
        <v>74</v>
      </c>
      <c r="K20" s="20" t="s">
        <v>74</v>
      </c>
      <c r="S20" s="64"/>
      <c r="T20" s="71" t="s">
        <v>75</v>
      </c>
      <c r="U20" s="12">
        <f>(U10-V11)*U8*J13</f>
        <v>-9.8667760075030575</v>
      </c>
      <c r="V20" s="74" t="s">
        <v>46</v>
      </c>
      <c r="W20" s="76" t="s">
        <v>47</v>
      </c>
    </row>
    <row r="21" spans="2:23" x14ac:dyDescent="0.25">
      <c r="B21" s="23" t="s">
        <v>76</v>
      </c>
      <c r="C21" s="49">
        <v>90</v>
      </c>
      <c r="D21" s="46" t="s">
        <v>77</v>
      </c>
      <c r="F21" s="8" t="s">
        <v>78</v>
      </c>
      <c r="G21" s="34">
        <v>150</v>
      </c>
      <c r="H21" s="34">
        <v>1100</v>
      </c>
      <c r="I21" s="34">
        <v>540</v>
      </c>
      <c r="J21" s="34">
        <v>540</v>
      </c>
      <c r="K21" s="38">
        <v>300</v>
      </c>
      <c r="S21" s="64"/>
      <c r="T21" s="71" t="s">
        <v>79</v>
      </c>
      <c r="U21" s="73">
        <f>(V11-U10)*U8*J13</f>
        <v>9.8667760075030575</v>
      </c>
      <c r="V21" s="74" t="s">
        <v>46</v>
      </c>
      <c r="W21" s="76" t="s">
        <v>47</v>
      </c>
    </row>
    <row r="22" spans="2:23" x14ac:dyDescent="0.25">
      <c r="B22" s="23" t="s">
        <v>80</v>
      </c>
      <c r="C22" s="49">
        <v>50</v>
      </c>
      <c r="D22" s="46" t="s">
        <v>9</v>
      </c>
      <c r="F22" s="8" t="s">
        <v>81</v>
      </c>
      <c r="G22" s="34">
        <v>1100</v>
      </c>
      <c r="H22" s="34">
        <v>900</v>
      </c>
      <c r="I22" s="34">
        <v>900</v>
      </c>
      <c r="J22" s="34">
        <v>300</v>
      </c>
      <c r="K22" s="38">
        <v>170</v>
      </c>
      <c r="S22" s="64"/>
      <c r="T22" s="71" t="s">
        <v>82</v>
      </c>
      <c r="U22" s="57">
        <f>(V10-U11)*U8*J13</f>
        <v>8.6800594491235117</v>
      </c>
      <c r="V22" s="74" t="s">
        <v>46</v>
      </c>
      <c r="W22" s="76" t="s">
        <v>47</v>
      </c>
    </row>
    <row r="23" spans="2:23" x14ac:dyDescent="0.25">
      <c r="B23" s="23" t="s">
        <v>83</v>
      </c>
      <c r="C23" s="49">
        <v>7</v>
      </c>
      <c r="D23" s="46" t="s">
        <v>9</v>
      </c>
      <c r="F23" s="8" t="s">
        <v>84</v>
      </c>
      <c r="G23">
        <f>(G22+G21)/2</f>
        <v>625</v>
      </c>
      <c r="H23">
        <f>(H22+H21)/2</f>
        <v>1000</v>
      </c>
      <c r="I23">
        <f>(I22+I21)/2</f>
        <v>720</v>
      </c>
      <c r="J23">
        <f>(J22+J21)/2</f>
        <v>420</v>
      </c>
      <c r="K23" s="46">
        <f>(K22+K21)/2</f>
        <v>235</v>
      </c>
      <c r="S23" s="64"/>
      <c r="T23" s="71"/>
      <c r="U23" s="67"/>
      <c r="V23" s="67"/>
      <c r="W23" s="83"/>
    </row>
    <row r="24" spans="2:23" x14ac:dyDescent="0.25">
      <c r="B24" s="56" t="s">
        <v>85</v>
      </c>
      <c r="C24" s="11">
        <v>6</v>
      </c>
      <c r="D24" s="46" t="s">
        <v>86</v>
      </c>
      <c r="F24" s="8" t="s">
        <v>87</v>
      </c>
      <c r="G24" s="40">
        <f>$J$11/(273+G23)*273*1000</f>
        <v>395.2115812917595</v>
      </c>
      <c r="H24" s="40">
        <f>$J$11/(273+H23)*273*1000</f>
        <v>278.79025923016496</v>
      </c>
      <c r="I24" s="40">
        <f>$C$65/(273+I23)*273</f>
        <v>361.00235990118</v>
      </c>
      <c r="J24" s="40">
        <f>$C$65/(273+J23)*273</f>
        <v>517.28043778047868</v>
      </c>
      <c r="K24" s="22">
        <f>$C$65/(273+K23)*273</f>
        <v>705.66012476746403</v>
      </c>
      <c r="S24" s="64"/>
      <c r="T24" s="67"/>
      <c r="U24" s="67"/>
      <c r="V24" s="67"/>
      <c r="W24" s="83"/>
    </row>
    <row r="25" spans="2:23" x14ac:dyDescent="0.25">
      <c r="B25" s="52" t="s">
        <v>88</v>
      </c>
      <c r="C25" s="53">
        <v>21</v>
      </c>
      <c r="D25" s="47" t="s">
        <v>89</v>
      </c>
      <c r="F25" s="8" t="s">
        <v>90</v>
      </c>
      <c r="G25" s="9">
        <v>0.17599999999999999</v>
      </c>
      <c r="H25" s="9">
        <v>0.104</v>
      </c>
      <c r="I25" s="9">
        <v>0.23899999999999999</v>
      </c>
      <c r="J25" s="9">
        <v>1.2E-2</v>
      </c>
      <c r="K25" s="104">
        <v>3</v>
      </c>
      <c r="S25" s="64"/>
      <c r="T25" s="67"/>
      <c r="U25" s="67" t="s">
        <v>91</v>
      </c>
      <c r="V25" s="67"/>
      <c r="W25" s="83"/>
    </row>
    <row r="26" spans="2:23" x14ac:dyDescent="0.25">
      <c r="F26" s="8" t="s">
        <v>92</v>
      </c>
      <c r="G26" s="28">
        <f>($J$11-G24/1000)*$J$13*G25*G19</f>
        <v>-1.5621714922048997</v>
      </c>
      <c r="H26" s="28">
        <f>($J$11-H24/1000)*$J$13*H25*H19</f>
        <v>-1.0418790259230166</v>
      </c>
      <c r="I26" s="28">
        <v>0.05</v>
      </c>
      <c r="J26" s="28">
        <f>($J$11-J24/1000)*$J$13*J25*J19</f>
        <v>9.2141746864482052E-2</v>
      </c>
      <c r="K26" s="33">
        <f>($J$11-K24/1000)*$J$13*K25*K19</f>
        <v>17.491422528093537</v>
      </c>
      <c r="S26" s="64"/>
      <c r="T26" s="67"/>
      <c r="U26" s="67" t="s">
        <v>93</v>
      </c>
      <c r="V26" s="67"/>
      <c r="W26" s="76" t="s">
        <v>94</v>
      </c>
    </row>
    <row r="27" spans="2:23" x14ac:dyDescent="0.25">
      <c r="B27" s="63" t="s">
        <v>95</v>
      </c>
      <c r="C27" s="87">
        <f>C20-C20*C23/100</f>
        <v>1488</v>
      </c>
      <c r="D27" s="92" t="s">
        <v>96</v>
      </c>
      <c r="F27" s="8" t="s">
        <v>97</v>
      </c>
      <c r="G27" s="41">
        <f>K39</f>
        <v>1.7671458676442587E-2</v>
      </c>
      <c r="H27" s="41">
        <f>K40</f>
        <v>8.4948665353068008E-3</v>
      </c>
      <c r="I27" s="41">
        <f>K41</f>
        <v>2.3758294442772811E-3</v>
      </c>
      <c r="J27" s="41">
        <f>K42</f>
        <v>2.3758294442772811E-3</v>
      </c>
      <c r="K27" s="42">
        <f>K43</f>
        <v>2.9224665660019049E-3</v>
      </c>
      <c r="S27" s="65"/>
      <c r="T27" s="68"/>
      <c r="U27" s="68" t="s">
        <v>98</v>
      </c>
      <c r="V27" s="68"/>
      <c r="W27" s="62"/>
    </row>
    <row r="28" spans="2:23" x14ac:dyDescent="0.25">
      <c r="B28" s="64" t="s">
        <v>99</v>
      </c>
      <c r="C28" s="88">
        <f>(C27/C19*60)</f>
        <v>24.8</v>
      </c>
      <c r="D28" s="76" t="s">
        <v>100</v>
      </c>
      <c r="F28" s="8" t="s">
        <v>101</v>
      </c>
      <c r="G28" s="41">
        <f>G29*3600</f>
        <v>45.530174400798799</v>
      </c>
      <c r="H28" s="41">
        <f>H29*3600</f>
        <v>45.530174400798799</v>
      </c>
      <c r="I28" s="41">
        <f>I29*3600</f>
        <v>45.530174400798799</v>
      </c>
      <c r="J28" s="41">
        <f>J29*3600</f>
        <v>37.813810086464137</v>
      </c>
      <c r="K28" s="42">
        <f>J28</f>
        <v>37.813810086464137</v>
      </c>
    </row>
    <row r="29" spans="2:23" x14ac:dyDescent="0.25">
      <c r="B29" s="64" t="s">
        <v>102</v>
      </c>
      <c r="C29" s="88">
        <f>(C28*C25)*1000/60</f>
        <v>8680.0000000000018</v>
      </c>
      <c r="D29" s="76" t="s">
        <v>103</v>
      </c>
      <c r="F29" s="8" t="s">
        <v>104</v>
      </c>
      <c r="G29" s="41">
        <f>($J$10+G23)/$J$10*C54/3600</f>
        <v>1.2647270666888555E-2</v>
      </c>
      <c r="H29" s="41">
        <f>G29</f>
        <v>1.2647270666888555E-2</v>
      </c>
      <c r="I29" s="41">
        <f>H29</f>
        <v>1.2647270666888555E-2</v>
      </c>
      <c r="J29" s="41">
        <f>(J10+J23)/J10*(C49+(C17-1)*C38)/3600</f>
        <v>1.0503836135128926E-2</v>
      </c>
      <c r="K29" s="42">
        <f>J29</f>
        <v>1.0503836135128926E-2</v>
      </c>
    </row>
    <row r="30" spans="2:23" x14ac:dyDescent="0.25">
      <c r="B30" s="64" t="s">
        <v>105</v>
      </c>
      <c r="C30" s="88">
        <f>C27/N14</f>
        <v>64.695652173913047</v>
      </c>
      <c r="D30" s="76" t="s">
        <v>106</v>
      </c>
      <c r="F30" s="8" t="s">
        <v>173</v>
      </c>
      <c r="G30" s="41">
        <f>G29/G27</f>
        <v>0.71568911760229159</v>
      </c>
      <c r="H30" s="41">
        <f>H29/H27</f>
        <v>1.4888133456038797</v>
      </c>
      <c r="I30" s="41">
        <f>I29/I27</f>
        <v>5.3233074862980372</v>
      </c>
      <c r="J30" s="41">
        <f>J29/J27</f>
        <v>4.4211238144344813</v>
      </c>
      <c r="K30" s="42">
        <f>K29/K27</f>
        <v>3.5941681103639627</v>
      </c>
      <c r="L30" t="s">
        <v>107</v>
      </c>
    </row>
    <row r="31" spans="2:23" ht="15.6" x14ac:dyDescent="0.3">
      <c r="B31" s="64" t="s">
        <v>108</v>
      </c>
      <c r="C31" s="88">
        <f>C30*12</f>
        <v>776.3478260869565</v>
      </c>
      <c r="D31" s="76" t="s">
        <v>96</v>
      </c>
      <c r="E31" s="2"/>
      <c r="F31" s="13" t="s">
        <v>109</v>
      </c>
      <c r="G31" s="18">
        <f>SUM(G26:K26)</f>
        <v>15.029513756830102</v>
      </c>
      <c r="H31" s="5" t="s">
        <v>47</v>
      </c>
      <c r="I31" s="44"/>
      <c r="J31" s="44"/>
      <c r="K31" s="29"/>
    </row>
    <row r="32" spans="2:23" x14ac:dyDescent="0.25">
      <c r="B32" s="64" t="s">
        <v>110</v>
      </c>
      <c r="C32" s="88">
        <f>C30</f>
        <v>64.695652173913047</v>
      </c>
      <c r="D32" s="76" t="s">
        <v>106</v>
      </c>
      <c r="F32" t="s">
        <v>111</v>
      </c>
      <c r="H32" t="s">
        <v>112</v>
      </c>
    </row>
    <row r="33" spans="2:14" x14ac:dyDescent="0.25">
      <c r="B33" s="64" t="s">
        <v>113</v>
      </c>
      <c r="C33" s="88">
        <f>C32*N8</f>
        <v>2846.608695652174</v>
      </c>
      <c r="D33" s="76" t="s">
        <v>96</v>
      </c>
      <c r="F33" t="s">
        <v>114</v>
      </c>
      <c r="H33" s="106">
        <f>C28</f>
        <v>24.8</v>
      </c>
    </row>
    <row r="34" spans="2:14" x14ac:dyDescent="0.25">
      <c r="B34" s="64" t="s">
        <v>115</v>
      </c>
      <c r="C34" s="89">
        <f>C32*J8</f>
        <v>1.4491826086956523</v>
      </c>
      <c r="D34" s="76" t="s">
        <v>116</v>
      </c>
    </row>
    <row r="35" spans="2:14" x14ac:dyDescent="0.25">
      <c r="B35" s="64" t="s">
        <v>117</v>
      </c>
      <c r="C35" s="12">
        <f>C36*32</f>
        <v>2173.7739130434784</v>
      </c>
      <c r="D35" s="76" t="s">
        <v>96</v>
      </c>
    </row>
    <row r="36" spans="2:14" x14ac:dyDescent="0.25">
      <c r="B36" s="64" t="s">
        <v>118</v>
      </c>
      <c r="C36" s="88">
        <f>1.05*C32</f>
        <v>67.9304347826087</v>
      </c>
      <c r="D36" s="76" t="s">
        <v>106</v>
      </c>
    </row>
    <row r="37" spans="2:14" ht="17.399999999999999" x14ac:dyDescent="0.3">
      <c r="B37" s="64" t="s">
        <v>119</v>
      </c>
      <c r="C37" s="88">
        <f>C36*J8</f>
        <v>1.5216417391304349</v>
      </c>
      <c r="D37" s="76" t="s">
        <v>116</v>
      </c>
      <c r="F37" s="54" t="s">
        <v>171</v>
      </c>
      <c r="G37" s="58"/>
      <c r="H37" s="58" t="s">
        <v>120</v>
      </c>
      <c r="I37" s="58"/>
      <c r="J37" s="58"/>
      <c r="K37" s="58"/>
      <c r="L37" s="58" t="s">
        <v>121</v>
      </c>
      <c r="M37" s="58"/>
      <c r="N37" s="59"/>
    </row>
    <row r="38" spans="2:14" x14ac:dyDescent="0.25">
      <c r="B38" s="84" t="s">
        <v>122</v>
      </c>
      <c r="C38" s="89">
        <f>C37*G12</f>
        <v>7.2659809909771509</v>
      </c>
      <c r="D38" s="76" t="s">
        <v>116</v>
      </c>
      <c r="F38" s="108" t="s">
        <v>123</v>
      </c>
      <c r="G38" s="107" t="s">
        <v>124</v>
      </c>
      <c r="H38" s="107" t="s">
        <v>125</v>
      </c>
      <c r="I38" s="107" t="s">
        <v>126</v>
      </c>
      <c r="J38" s="107" t="s">
        <v>127</v>
      </c>
      <c r="K38" s="107" t="s">
        <v>128</v>
      </c>
      <c r="L38" s="107" t="s">
        <v>129</v>
      </c>
      <c r="M38" s="107" t="s">
        <v>130</v>
      </c>
      <c r="N38" s="109"/>
    </row>
    <row r="39" spans="2:14" x14ac:dyDescent="0.25">
      <c r="B39" s="64" t="s">
        <v>131</v>
      </c>
      <c r="C39" s="12">
        <f>C40*18</f>
        <v>815.16521739130428</v>
      </c>
      <c r="D39" s="76" t="s">
        <v>96</v>
      </c>
      <c r="F39" s="105" t="s">
        <v>166</v>
      </c>
      <c r="G39">
        <v>1</v>
      </c>
      <c r="H39" s="9">
        <v>150</v>
      </c>
      <c r="I39" s="16">
        <f>(H39/2)^2*PI()/1000000</f>
        <v>1.7671458676442587E-2</v>
      </c>
      <c r="J39" s="39">
        <v>1</v>
      </c>
      <c r="K39" s="16">
        <f t="shared" ref="K39:K45" si="0">J39*I39</f>
        <v>1.7671458676442587E-2</v>
      </c>
      <c r="L39" s="12">
        <f t="shared" ref="L39:L45" si="1">$C$54</f>
        <v>14.531961981954302</v>
      </c>
      <c r="M39" s="12">
        <f t="shared" ref="M39:M45" si="2">(L39)/(I39*J39)/3.6</f>
        <v>228.42800812360724</v>
      </c>
      <c r="N39" s="46"/>
    </row>
    <row r="40" spans="2:14" x14ac:dyDescent="0.25">
      <c r="B40" s="64" t="s">
        <v>132</v>
      </c>
      <c r="C40" s="88">
        <f>0.7*C30</f>
        <v>45.286956521739128</v>
      </c>
      <c r="D40" s="76" t="s">
        <v>106</v>
      </c>
      <c r="F40" s="105" t="s">
        <v>167</v>
      </c>
      <c r="G40">
        <v>2</v>
      </c>
      <c r="H40" s="9">
        <v>104</v>
      </c>
      <c r="I40" s="16">
        <f>(H40/2)^2*PI()/1000000</f>
        <v>8.4948665353068008E-3</v>
      </c>
      <c r="J40" s="39">
        <v>1</v>
      </c>
      <c r="K40" s="16">
        <f t="shared" si="0"/>
        <v>8.4948665353068008E-3</v>
      </c>
      <c r="L40" s="12">
        <f t="shared" si="1"/>
        <v>14.531961981954302</v>
      </c>
      <c r="M40" s="12">
        <f t="shared" si="2"/>
        <v>475.1877018103886</v>
      </c>
      <c r="N40" s="46"/>
    </row>
    <row r="41" spans="2:14" x14ac:dyDescent="0.25">
      <c r="B41" s="64" t="s">
        <v>133</v>
      </c>
      <c r="C41" s="89">
        <f>C40*J8</f>
        <v>1.0144278260869564</v>
      </c>
      <c r="D41" s="76" t="s">
        <v>116</v>
      </c>
      <c r="F41" s="105" t="s">
        <v>168</v>
      </c>
      <c r="G41">
        <v>3</v>
      </c>
      <c r="H41" s="9">
        <v>55</v>
      </c>
      <c r="I41" s="16">
        <f>(H41/2)^2*PI()/1000000</f>
        <v>2.3758294442772811E-3</v>
      </c>
      <c r="J41" s="39">
        <v>1</v>
      </c>
      <c r="K41" s="16">
        <f t="shared" si="0"/>
        <v>2.3758294442772811E-3</v>
      </c>
      <c r="L41" s="12">
        <f t="shared" si="1"/>
        <v>14.531961981954302</v>
      </c>
      <c r="M41" s="12">
        <f t="shared" si="2"/>
        <v>1699.0513000929466</v>
      </c>
      <c r="N41" s="46"/>
    </row>
    <row r="42" spans="2:14" x14ac:dyDescent="0.25">
      <c r="B42" s="64" t="s">
        <v>134</v>
      </c>
      <c r="C42" s="88">
        <f>C36*G14</f>
        <v>253.01183807866863</v>
      </c>
      <c r="D42" s="76" t="s">
        <v>106</v>
      </c>
      <c r="F42" s="105" t="s">
        <v>169</v>
      </c>
      <c r="G42">
        <v>4</v>
      </c>
      <c r="H42" s="9">
        <v>55</v>
      </c>
      <c r="I42" s="16">
        <f>(H42/2)^2*PI()/1000000</f>
        <v>2.3758294442772811E-3</v>
      </c>
      <c r="J42" s="39">
        <v>1</v>
      </c>
      <c r="K42" s="16">
        <f t="shared" si="0"/>
        <v>2.3758294442772811E-3</v>
      </c>
      <c r="L42" s="12">
        <f t="shared" si="1"/>
        <v>14.531961981954302</v>
      </c>
      <c r="M42" s="12">
        <f t="shared" si="2"/>
        <v>1699.0513000929466</v>
      </c>
      <c r="N42" s="46"/>
    </row>
    <row r="43" spans="2:14" x14ac:dyDescent="0.25">
      <c r="B43" s="64" t="s">
        <v>135</v>
      </c>
      <c r="C43" s="88">
        <f>C42*N10</f>
        <v>7084.3314662027215</v>
      </c>
      <c r="D43" s="76" t="s">
        <v>96</v>
      </c>
      <c r="F43" s="105" t="s">
        <v>170</v>
      </c>
      <c r="G43">
        <v>5</v>
      </c>
      <c r="H43" s="9">
        <v>61</v>
      </c>
      <c r="I43" s="16">
        <f>(H43/2)^2*PI()/1000000</f>
        <v>2.9224665660019049E-3</v>
      </c>
      <c r="J43" s="39">
        <v>1</v>
      </c>
      <c r="K43" s="16">
        <f t="shared" si="0"/>
        <v>2.9224665660019049E-3</v>
      </c>
      <c r="L43" s="12">
        <f t="shared" si="1"/>
        <v>14.531961981954302</v>
      </c>
      <c r="M43" s="12">
        <f t="shared" si="2"/>
        <v>1381.2497131903156</v>
      </c>
      <c r="N43" s="46"/>
    </row>
    <row r="44" spans="2:14" x14ac:dyDescent="0.25">
      <c r="B44" s="64" t="s">
        <v>136</v>
      </c>
      <c r="C44" s="89">
        <f>C42*J8</f>
        <v>5.667465172962177</v>
      </c>
      <c r="D44" s="76" t="s">
        <v>116</v>
      </c>
      <c r="F44" s="24"/>
      <c r="G44">
        <v>0</v>
      </c>
      <c r="H44" s="9">
        <v>0</v>
      </c>
      <c r="I44" s="16">
        <f>(H44/2)^2*PI()/1000000-I45</f>
        <v>0</v>
      </c>
      <c r="J44" s="39">
        <v>1</v>
      </c>
      <c r="K44" s="16">
        <f t="shared" si="0"/>
        <v>0</v>
      </c>
      <c r="L44" s="12">
        <f t="shared" si="1"/>
        <v>14.531961981954302</v>
      </c>
      <c r="M44" s="12" t="e">
        <f t="shared" si="2"/>
        <v>#DIV/0!</v>
      </c>
      <c r="N44" s="46"/>
    </row>
    <row r="45" spans="2:14" x14ac:dyDescent="0.25">
      <c r="B45" s="64" t="s">
        <v>137</v>
      </c>
      <c r="C45" s="89">
        <f>C38/G13</f>
        <v>2.7610727765713171E-3</v>
      </c>
      <c r="D45" s="76" t="s">
        <v>116</v>
      </c>
      <c r="F45" s="25"/>
      <c r="G45" s="36">
        <v>0</v>
      </c>
      <c r="H45" s="21">
        <v>0</v>
      </c>
      <c r="I45" s="37">
        <f>(H45/2)^2*PI()/1000000</f>
        <v>0</v>
      </c>
      <c r="J45" s="43">
        <v>1</v>
      </c>
      <c r="K45" s="37">
        <f t="shared" si="0"/>
        <v>0</v>
      </c>
      <c r="L45" s="44">
        <f t="shared" si="1"/>
        <v>14.531961981954302</v>
      </c>
      <c r="M45" s="44" t="e">
        <f t="shared" si="2"/>
        <v>#DIV/0!</v>
      </c>
      <c r="N45" s="47"/>
    </row>
    <row r="46" spans="2:14" x14ac:dyDescent="0.25">
      <c r="B46" s="64" t="s">
        <v>138</v>
      </c>
      <c r="C46" s="88">
        <f>C23/100*C20</f>
        <v>112.00000000000001</v>
      </c>
      <c r="D46" s="76" t="s">
        <v>96</v>
      </c>
    </row>
    <row r="47" spans="2:14" x14ac:dyDescent="0.25">
      <c r="B47" s="64" t="s">
        <v>139</v>
      </c>
      <c r="C47" s="88">
        <f>C46/N9</f>
        <v>6.2222222222222232</v>
      </c>
      <c r="D47" s="76" t="s">
        <v>106</v>
      </c>
    </row>
    <row r="48" spans="2:14" x14ac:dyDescent="0.25">
      <c r="B48" s="64" t="s">
        <v>140</v>
      </c>
      <c r="C48" s="89">
        <f>C47*J8</f>
        <v>0.13937777777777779</v>
      </c>
      <c r="D48" s="76" t="s">
        <v>116</v>
      </c>
      <c r="F48" t="s">
        <v>141</v>
      </c>
    </row>
    <row r="49" spans="2:15" x14ac:dyDescent="0.25">
      <c r="B49" s="64" t="s">
        <v>142</v>
      </c>
      <c r="C49" s="89">
        <f>C45+C44+C41+C34+C48</f>
        <v>8.2732144582991349</v>
      </c>
      <c r="D49" s="76" t="s">
        <v>116</v>
      </c>
    </row>
    <row r="50" spans="2:15" x14ac:dyDescent="0.25">
      <c r="B50" s="64" t="s">
        <v>143</v>
      </c>
      <c r="C50" s="55">
        <f>(C17-1)*C38+C49</f>
        <v>15.539195449276285</v>
      </c>
      <c r="D50" s="76" t="s">
        <v>116</v>
      </c>
    </row>
    <row r="51" spans="2:15" x14ac:dyDescent="0.25">
      <c r="B51" s="85" t="s">
        <v>144</v>
      </c>
      <c r="C51" s="12">
        <f>(C17-1)*C38</f>
        <v>7.2659809909771509</v>
      </c>
      <c r="D51" s="76" t="s">
        <v>116</v>
      </c>
    </row>
    <row r="52" spans="2:15" x14ac:dyDescent="0.25">
      <c r="B52" s="84" t="s">
        <v>145</v>
      </c>
      <c r="C52" s="90">
        <f>(J10+C21)/(J10)*C49</f>
        <v>10.814474872111155</v>
      </c>
      <c r="D52" s="76" t="s">
        <v>116</v>
      </c>
      <c r="O52" s="6"/>
    </row>
    <row r="53" spans="2:15" x14ac:dyDescent="0.25">
      <c r="B53" s="84" t="s">
        <v>146</v>
      </c>
      <c r="C53" s="90">
        <f>C52+(C17-1)*C38*(J10+C21)/J10</f>
        <v>20.312327157245111</v>
      </c>
      <c r="D53" s="76" t="s">
        <v>116</v>
      </c>
      <c r="O53" s="6"/>
    </row>
    <row r="54" spans="2:15" x14ac:dyDescent="0.25">
      <c r="B54" s="86" t="s">
        <v>147</v>
      </c>
      <c r="C54" s="91">
        <f>C17*C38</f>
        <v>14.531961981954302</v>
      </c>
      <c r="D54" s="93" t="s">
        <v>116</v>
      </c>
      <c r="O54" s="6"/>
    </row>
    <row r="55" spans="2:15" x14ac:dyDescent="0.25">
      <c r="C55" s="12"/>
      <c r="O55" s="6"/>
    </row>
    <row r="56" spans="2:15" x14ac:dyDescent="0.25">
      <c r="B56" s="63" t="s">
        <v>148</v>
      </c>
      <c r="C56" s="94">
        <f>C53/3600</f>
        <v>5.6423130992347527E-3</v>
      </c>
      <c r="D56" s="92" t="s">
        <v>149</v>
      </c>
      <c r="O56" s="6"/>
    </row>
    <row r="57" spans="2:15" x14ac:dyDescent="0.25">
      <c r="B57" s="64" t="s">
        <v>150</v>
      </c>
      <c r="C57" s="88">
        <f>(C18/1000/2)^2*PI()</f>
        <v>1.2271846303085129E-2</v>
      </c>
      <c r="D57" s="76" t="s">
        <v>151</v>
      </c>
    </row>
    <row r="58" spans="2:15" x14ac:dyDescent="0.25">
      <c r="B58" s="65" t="s">
        <v>152</v>
      </c>
      <c r="C58" s="91">
        <f>C56/C57</f>
        <v>0.45977703435026568</v>
      </c>
      <c r="D58" s="93" t="s">
        <v>153</v>
      </c>
      <c r="E58" t="s">
        <v>154</v>
      </c>
    </row>
    <row r="60" spans="2:15" x14ac:dyDescent="0.25">
      <c r="B60" s="95"/>
      <c r="C60" s="97" t="s">
        <v>155</v>
      </c>
      <c r="D60" s="99"/>
    </row>
    <row r="61" spans="2:15" x14ac:dyDescent="0.25">
      <c r="B61" s="64"/>
      <c r="C61" s="67" t="s">
        <v>87</v>
      </c>
      <c r="D61" s="76" t="s">
        <v>156</v>
      </c>
    </row>
    <row r="62" spans="2:15" x14ac:dyDescent="0.25">
      <c r="B62" s="78" t="s">
        <v>20</v>
      </c>
      <c r="C62" s="12">
        <f>C33/C34</f>
        <v>1964.2857142857142</v>
      </c>
      <c r="D62" s="100">
        <f>(C34+C45)/C49</f>
        <v>0.17549934052727606</v>
      </c>
    </row>
    <row r="63" spans="2:15" x14ac:dyDescent="0.25">
      <c r="B63" s="78" t="s">
        <v>27</v>
      </c>
      <c r="C63" s="12">
        <f>(C46+C39)/(C41+C48)</f>
        <v>803.57142857142856</v>
      </c>
      <c r="D63" s="100">
        <f>(C41+C48)/C49</f>
        <v>0.13946279401802689</v>
      </c>
    </row>
    <row r="64" spans="2:15" x14ac:dyDescent="0.25">
      <c r="B64" s="78" t="s">
        <v>24</v>
      </c>
      <c r="C64" s="12">
        <f>C43/C44</f>
        <v>1250</v>
      </c>
      <c r="D64" s="100">
        <f>C44/C49</f>
        <v>0.68503786545469703</v>
      </c>
    </row>
    <row r="65" spans="2:4" x14ac:dyDescent="0.25">
      <c r="B65" s="78" t="s">
        <v>157</v>
      </c>
      <c r="C65" s="12">
        <f>D64*C64+D63*C63+D62*C62</f>
        <v>1313.0964959042922</v>
      </c>
      <c r="D65" s="100">
        <f>D64+D63+D62</f>
        <v>1</v>
      </c>
    </row>
    <row r="66" spans="2:4" x14ac:dyDescent="0.25">
      <c r="B66" s="96" t="s">
        <v>158</v>
      </c>
      <c r="C66" s="98">
        <f>C65/(273+C21)*273</f>
        <v>987.53538121727752</v>
      </c>
      <c r="D66" s="93" t="s">
        <v>159</v>
      </c>
    </row>
    <row r="68" spans="2:4" x14ac:dyDescent="0.25">
      <c r="B68" s="63"/>
      <c r="C68" s="101" t="s">
        <v>160</v>
      </c>
      <c r="D68" s="59"/>
    </row>
    <row r="69" spans="2:4" x14ac:dyDescent="0.25">
      <c r="B69" s="78" t="s">
        <v>161</v>
      </c>
      <c r="C69" s="12">
        <f>J11/(J10+C21)*J10</f>
        <v>0.99451697127937333</v>
      </c>
      <c r="D69" s="76" t="s">
        <v>32</v>
      </c>
    </row>
    <row r="70" spans="2:4" x14ac:dyDescent="0.25">
      <c r="B70" s="78" t="s">
        <v>162</v>
      </c>
      <c r="C70" s="12">
        <f>C66/1000</f>
        <v>0.98753538121727746</v>
      </c>
      <c r="D70" s="76" t="s">
        <v>32</v>
      </c>
    </row>
    <row r="71" spans="2:4" x14ac:dyDescent="0.25">
      <c r="B71" s="96" t="s">
        <v>163</v>
      </c>
      <c r="C71" s="5">
        <f>C51/C53*C69+C52/C53*C70</f>
        <v>0.88152469362075569</v>
      </c>
      <c r="D71" s="93" t="s">
        <v>32</v>
      </c>
    </row>
    <row r="72" spans="2:4" ht="17.399999999999999" x14ac:dyDescent="0.3">
      <c r="B72" s="50" t="s">
        <v>164</v>
      </c>
      <c r="C72" s="102">
        <f>J13*C24*(J11-C71)</f>
        <v>24.631456533482321</v>
      </c>
      <c r="D72" s="51" t="s">
        <v>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Crispin</dc:creator>
  <cp:lastModifiedBy>Reviewer</cp:lastModifiedBy>
  <dcterms:created xsi:type="dcterms:W3CDTF">2009-04-03T08:33:48Z</dcterms:created>
  <dcterms:modified xsi:type="dcterms:W3CDTF">2017-03-04T07:13:21Z</dcterms:modified>
</cp:coreProperties>
</file>